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4640" windowHeight="8190"/>
  </bookViews>
  <sheets>
    <sheet name="19.4" sheetId="4" r:id="rId1"/>
  </sheets>
  <calcPr calcId="145621"/>
</workbook>
</file>

<file path=xl/calcChain.xml><?xml version="1.0" encoding="utf-8"?>
<calcChain xmlns="http://schemas.openxmlformats.org/spreadsheetml/2006/main">
  <c r="H46" i="4" l="1"/>
  <c r="H45" i="4"/>
  <c r="G7" i="4"/>
  <c r="G8" i="4" s="1"/>
  <c r="C7" i="4"/>
  <c r="G67" i="4"/>
  <c r="E67" i="4"/>
  <c r="G66" i="4"/>
  <c r="E66" i="4"/>
  <c r="C66" i="4"/>
  <c r="G65" i="4"/>
  <c r="E65" i="4"/>
  <c r="E68" i="4" s="1"/>
  <c r="C65" i="4"/>
  <c r="G59" i="4"/>
  <c r="E59" i="4"/>
  <c r="C59" i="4"/>
  <c r="G52" i="4"/>
  <c r="E52" i="4"/>
  <c r="C52" i="4"/>
  <c r="B47" i="4"/>
  <c r="B48" i="4" s="1"/>
  <c r="C58" i="4"/>
  <c r="D47" i="4"/>
  <c r="G41" i="4"/>
  <c r="E41" i="4"/>
  <c r="C41" i="4"/>
  <c r="B37" i="4"/>
  <c r="B32" i="4"/>
  <c r="C56" i="4"/>
  <c r="H27" i="4"/>
  <c r="F27" i="4"/>
  <c r="D27" i="4"/>
  <c r="B27" i="4"/>
  <c r="E10" i="4"/>
  <c r="G10" i="4" s="1"/>
  <c r="E9" i="4"/>
  <c r="G9" i="4" s="1"/>
  <c r="E7" i="4"/>
  <c r="E8" i="4" s="1"/>
  <c r="C8" i="4"/>
  <c r="C11" i="4" s="1"/>
  <c r="G68" i="4" l="1"/>
  <c r="C68" i="4"/>
  <c r="G27" i="4"/>
  <c r="C27" i="4"/>
  <c r="B49" i="4"/>
  <c r="E55" i="4"/>
  <c r="G11" i="4"/>
  <c r="E11" i="4"/>
  <c r="E51" i="4" s="1"/>
  <c r="C14" i="4"/>
  <c r="C51" i="4"/>
  <c r="D48" i="4"/>
  <c r="C48" i="4" s="1"/>
  <c r="C47" i="4"/>
  <c r="G14" i="4"/>
  <c r="G51" i="4"/>
  <c r="B33" i="4"/>
  <c r="C53" i="4"/>
  <c r="G53" i="4"/>
  <c r="C55" i="4"/>
  <c r="C57" i="4"/>
  <c r="C63" i="4"/>
  <c r="C64" i="4" s="1"/>
  <c r="G63" i="4"/>
  <c r="G64" i="4" s="1"/>
  <c r="E27" i="4"/>
  <c r="F32" i="4"/>
  <c r="D32" i="4"/>
  <c r="E53" i="4"/>
  <c r="E63" i="4" s="1"/>
  <c r="E64" i="4" s="1"/>
  <c r="E14" i="4" l="1"/>
  <c r="F33" i="4"/>
  <c r="E57" i="4"/>
  <c r="F47" i="4"/>
  <c r="G57" i="4"/>
  <c r="E32" i="4"/>
  <c r="C32" i="4"/>
  <c r="D39" i="4"/>
  <c r="C15" i="4" s="1"/>
  <c r="C60" i="4" s="1"/>
  <c r="G55" i="4"/>
  <c r="E54" i="4"/>
  <c r="E58" i="4"/>
  <c r="G56" i="4"/>
  <c r="H32" i="4"/>
  <c r="E56" i="4"/>
  <c r="D33" i="4"/>
  <c r="G54" i="4"/>
  <c r="C54" i="4"/>
  <c r="E33" i="4" l="1"/>
  <c r="F39" i="4"/>
  <c r="E61" i="4" s="1"/>
  <c r="H33" i="4"/>
  <c r="G32" i="4"/>
  <c r="G58" i="4"/>
  <c r="H47" i="4"/>
  <c r="H48" i="4" s="1"/>
  <c r="C33" i="4"/>
  <c r="C16" i="4"/>
  <c r="D36" i="4" s="1"/>
  <c r="C39" i="4"/>
  <c r="C61" i="4"/>
  <c r="C62" i="4" s="1"/>
  <c r="C69" i="4" s="1"/>
  <c r="C71" i="4" s="1"/>
  <c r="E70" i="4" s="1"/>
  <c r="F48" i="4"/>
  <c r="E47" i="4"/>
  <c r="G33" i="4"/>
  <c r="H39" i="4" l="1"/>
  <c r="G39" i="4" s="1"/>
  <c r="E15" i="4"/>
  <c r="E60" i="4" s="1"/>
  <c r="E62" i="4" s="1"/>
  <c r="E69" i="4" s="1"/>
  <c r="E71" i="4" s="1"/>
  <c r="G70" i="4" s="1"/>
  <c r="E39" i="4"/>
  <c r="G47" i="4"/>
  <c r="G48" i="4"/>
  <c r="E48" i="4"/>
  <c r="C19" i="4"/>
  <c r="E16" i="4" l="1"/>
  <c r="E19" i="4" s="1"/>
  <c r="G61" i="4"/>
  <c r="G15" i="4"/>
  <c r="D37" i="4"/>
  <c r="F36" i="4"/>
  <c r="G60" i="4" l="1"/>
  <c r="G62" i="4" s="1"/>
  <c r="G69" i="4" s="1"/>
  <c r="G71" i="4" s="1"/>
  <c r="G16" i="4"/>
  <c r="G19" i="4" s="1"/>
  <c r="F37" i="4"/>
  <c r="E37" i="4" s="1"/>
  <c r="D49" i="4"/>
  <c r="C37" i="4"/>
  <c r="H36" i="4" l="1"/>
  <c r="H37" i="4" s="1"/>
  <c r="H49" i="4" s="1"/>
  <c r="C49" i="4"/>
  <c r="F49" i="4"/>
  <c r="G49" i="4" s="1"/>
  <c r="G37" i="4"/>
  <c r="E49" i="4" l="1"/>
</calcChain>
</file>

<file path=xl/sharedStrings.xml><?xml version="1.0" encoding="utf-8"?>
<sst xmlns="http://schemas.openxmlformats.org/spreadsheetml/2006/main" count="75" uniqueCount="65">
  <si>
    <t>Regnskaber til analysebrug</t>
  </si>
  <si>
    <t>Nettoomsætning</t>
  </si>
  <si>
    <t>- Produktionsomkostninger</t>
  </si>
  <si>
    <t>Bruttoresultat</t>
  </si>
  <si>
    <t>- Distributionsomkostninger</t>
  </si>
  <si>
    <t>- Administrationsomkostninger</t>
  </si>
  <si>
    <t>Resultat før finansielle poster</t>
  </si>
  <si>
    <t>+ Finansielle indtægter</t>
  </si>
  <si>
    <t>- Finansielle omkostninger</t>
  </si>
  <si>
    <t>Resultat før skat</t>
  </si>
  <si>
    <t>- Skat af årets resultat</t>
  </si>
  <si>
    <t>Resultat til fordeling</t>
  </si>
  <si>
    <t>Der foreslås fordelt således:</t>
  </si>
  <si>
    <t>- Udbytte</t>
  </si>
  <si>
    <t>Reserver</t>
  </si>
  <si>
    <t>Antal fuldtidsansatte</t>
  </si>
  <si>
    <t>Gns.</t>
  </si>
  <si>
    <t>ANLÆGSAKTIVER</t>
  </si>
  <si>
    <t>Immaterielle anlægsaktiver</t>
  </si>
  <si>
    <t>Materielle anlægsaktiver</t>
  </si>
  <si>
    <t>Finansielle anlægsaktiver</t>
  </si>
  <si>
    <t>I alt</t>
  </si>
  <si>
    <t>OMSÆTNINGSAKTIVER</t>
  </si>
  <si>
    <t>Varelager</t>
  </si>
  <si>
    <t>Likvide beholdninger</t>
  </si>
  <si>
    <t>AKTIVER I ALT</t>
  </si>
  <si>
    <t>EGENKAPITAL</t>
  </si>
  <si>
    <t>Aktiekapital</t>
  </si>
  <si>
    <t>HENSÆTTELSER</t>
  </si>
  <si>
    <t>Udskudt skat</t>
  </si>
  <si>
    <t>GÆLDSFORPLIGTELSER</t>
  </si>
  <si>
    <t>Langfristet gæld</t>
  </si>
  <si>
    <t>Kortfristet gæld:</t>
  </si>
  <si>
    <t>Afdrag på langfristet gæld</t>
  </si>
  <si>
    <t>Kassekredit</t>
  </si>
  <si>
    <t>Anden kortfristet gæld</t>
  </si>
  <si>
    <t>Gældsforpligtelser i alt</t>
  </si>
  <si>
    <t>PASSIVER I ALT</t>
  </si>
  <si>
    <t>Pengestrømsanalyse i 1.000 kr.</t>
  </si>
  <si>
    <t>+ Afskrivninger</t>
  </si>
  <si>
    <t>Indtjeningsbidrag</t>
  </si>
  <si>
    <t>∆ Varekreditorer</t>
  </si>
  <si>
    <t>∆ Anden kortfristet gæld</t>
  </si>
  <si>
    <t>Finansielle omkostninger</t>
  </si>
  <si>
    <t>∆ Udskudt skat</t>
  </si>
  <si>
    <t>Pengestrømme fra driftsaktivitet</t>
  </si>
  <si>
    <t>Anlægsaktiver</t>
  </si>
  <si>
    <t>Pengestrømme fra investeringsaktivitet</t>
  </si>
  <si>
    <t>Udbetalt udbytte</t>
  </si>
  <si>
    <t>Pengestrømme fra finansieringsaktivitet</t>
  </si>
  <si>
    <t>Likviditetsforskydning</t>
  </si>
  <si>
    <t>Likvide beholdninger primo</t>
  </si>
  <si>
    <t>Likvide beholdninger ultimo</t>
  </si>
  <si>
    <t>∆ Varelager</t>
  </si>
  <si>
    <t>∆ Varedebitorer</t>
  </si>
  <si>
    <t>∆ Kassekredit</t>
  </si>
  <si>
    <t>Betalt selskabsskat</t>
  </si>
  <si>
    <t>Regnskaber</t>
  </si>
  <si>
    <t>Budget</t>
  </si>
  <si>
    <t>Resultatopgørelser/-budget i 1.000 kr.</t>
  </si>
  <si>
    <t>Balancer pr.  i 1.000 kr.</t>
  </si>
  <si>
    <t>Resultat af primær drift</t>
  </si>
  <si>
    <t>Tilgodehavender fra salg</t>
  </si>
  <si>
    <t>Gæld til leverandører</t>
  </si>
  <si>
    <t>Opgave 19.4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</si>
</sst>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u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5" xfId="0" applyFont="1" applyBorder="1"/>
    <xf numFmtId="3" fontId="2" fillId="0" borderId="6" xfId="0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3" fontId="2" fillId="0" borderId="7" xfId="0" applyNumberFormat="1" applyFont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2" fillId="0" borderId="8" xfId="0" applyNumberFormat="1" applyFont="1" applyBorder="1" applyAlignment="1" applyProtection="1">
      <alignment horizontal="right" indent="1"/>
      <protection locked="0"/>
    </xf>
    <xf numFmtId="3" fontId="4" fillId="0" borderId="0" xfId="0" applyNumberFormat="1" applyFont="1" applyBorder="1" applyAlignment="1">
      <alignment horizontal="right" indent="1"/>
    </xf>
    <xf numFmtId="3" fontId="2" fillId="0" borderId="9" xfId="0" applyNumberFormat="1" applyFont="1" applyBorder="1" applyAlignment="1">
      <alignment horizontal="right" indent="1"/>
    </xf>
    <xf numFmtId="3" fontId="2" fillId="0" borderId="5" xfId="0" applyNumberFormat="1" applyFont="1" applyBorder="1" applyAlignment="1">
      <alignment horizontal="right" indent="1"/>
    </xf>
    <xf numFmtId="3" fontId="4" fillId="0" borderId="5" xfId="0" applyNumberFormat="1" applyFont="1" applyBorder="1" applyAlignment="1">
      <alignment horizontal="right" indent="1"/>
    </xf>
    <xf numFmtId="0" fontId="2" fillId="0" borderId="5" xfId="0" applyFont="1" applyBorder="1"/>
    <xf numFmtId="3" fontId="4" fillId="0" borderId="8" xfId="0" applyNumberFormat="1" applyFont="1" applyBorder="1" applyAlignment="1">
      <alignment horizontal="right" indent="1"/>
    </xf>
    <xf numFmtId="3" fontId="4" fillId="0" borderId="11" xfId="0" applyNumberFormat="1" applyFont="1" applyBorder="1" applyAlignment="1">
      <alignment horizontal="right" indent="1"/>
    </xf>
    <xf numFmtId="3" fontId="2" fillId="0" borderId="12" xfId="0" applyNumberFormat="1" applyFont="1" applyBorder="1" applyAlignment="1">
      <alignment horizontal="right" indent="1"/>
    </xf>
    <xf numFmtId="3" fontId="2" fillId="0" borderId="4" xfId="0" applyNumberFormat="1" applyFont="1" applyBorder="1" applyAlignment="1">
      <alignment horizontal="right" indent="1"/>
    </xf>
    <xf numFmtId="3" fontId="2" fillId="0" borderId="2" xfId="0" applyNumberFormat="1" applyFont="1" applyBorder="1" applyAlignment="1">
      <alignment horizontal="right" indent="1"/>
    </xf>
    <xf numFmtId="0" fontId="1" fillId="0" borderId="1" xfId="0" applyFont="1" applyBorder="1"/>
    <xf numFmtId="3" fontId="2" fillId="0" borderId="1" xfId="0" applyNumberFormat="1" applyFont="1" applyBorder="1" applyAlignment="1">
      <alignment horizontal="right" indent="1"/>
    </xf>
    <xf numFmtId="0" fontId="2" fillId="0" borderId="5" xfId="0" applyFont="1" applyFill="1" applyBorder="1"/>
    <xf numFmtId="0" fontId="1" fillId="0" borderId="5" xfId="0" applyFont="1" applyFill="1" applyBorder="1"/>
    <xf numFmtId="3" fontId="2" fillId="0" borderId="4" xfId="0" applyNumberFormat="1" applyFont="1" applyBorder="1"/>
    <xf numFmtId="3" fontId="2" fillId="0" borderId="13" xfId="0" applyNumberFormat="1" applyFont="1" applyBorder="1" applyAlignment="1">
      <alignment horizontal="right" indent="1"/>
    </xf>
    <xf numFmtId="3" fontId="2" fillId="0" borderId="10" xfId="0" applyNumberFormat="1" applyFont="1" applyBorder="1" applyAlignment="1">
      <alignment horizontal="right" indent="1"/>
    </xf>
    <xf numFmtId="0" fontId="5" fillId="0" borderId="0" xfId="0" applyFont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2" borderId="4" xfId="0" applyFont="1" applyFill="1" applyBorder="1"/>
    <xf numFmtId="3" fontId="1" fillId="0" borderId="4" xfId="0" applyNumberFormat="1" applyFont="1" applyBorder="1"/>
    <xf numFmtId="0" fontId="6" fillId="0" borderId="0" xfId="0" applyFont="1"/>
    <xf numFmtId="0" fontId="7" fillId="0" borderId="0" xfId="0" applyFont="1"/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2" fillId="0" borderId="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7" xfId="0" quotePrefix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0" borderId="5" xfId="0" quotePrefix="1" applyFont="1" applyBorder="1" applyAlignment="1">
      <alignment horizontal="left"/>
    </xf>
    <xf numFmtId="0" fontId="1" fillId="0" borderId="7" xfId="0" quotePrefix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/>
  </sheetViews>
  <sheetFormatPr defaultRowHeight="15.75" x14ac:dyDescent="0.25"/>
  <cols>
    <col min="1" max="1" width="22.5" customWidth="1"/>
    <col min="2" max="8" width="7.75" customWidth="1"/>
  </cols>
  <sheetData>
    <row r="1" spans="1:8" ht="18.75" x14ac:dyDescent="0.3">
      <c r="A1" s="31" t="s">
        <v>64</v>
      </c>
      <c r="B1" s="25"/>
      <c r="C1" s="25"/>
      <c r="D1" s="25"/>
      <c r="E1" s="25"/>
      <c r="F1" s="25"/>
      <c r="G1" s="25"/>
      <c r="H1" s="25"/>
    </row>
    <row r="2" spans="1:8" s="32" customFormat="1" ht="18.75" x14ac:dyDescent="0.3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5" t="s">
        <v>0</v>
      </c>
      <c r="B3" s="46"/>
      <c r="C3" s="46"/>
      <c r="D3" s="46"/>
      <c r="E3" s="46"/>
      <c r="F3" s="46"/>
      <c r="G3" s="46"/>
      <c r="H3" s="36"/>
    </row>
    <row r="4" spans="1:8" x14ac:dyDescent="0.25">
      <c r="A4" s="53" t="s">
        <v>59</v>
      </c>
      <c r="B4" s="54"/>
      <c r="C4" s="35" t="s">
        <v>57</v>
      </c>
      <c r="D4" s="46"/>
      <c r="E4" s="46"/>
      <c r="F4" s="36"/>
      <c r="G4" s="35" t="s">
        <v>58</v>
      </c>
      <c r="H4" s="36"/>
    </row>
    <row r="5" spans="1:8" x14ac:dyDescent="0.25">
      <c r="A5" s="55"/>
      <c r="B5" s="56"/>
      <c r="C5" s="26">
        <v>2009</v>
      </c>
      <c r="D5" s="26"/>
      <c r="E5" s="26">
        <v>2010</v>
      </c>
      <c r="F5" s="26"/>
      <c r="G5" s="26">
        <v>2011</v>
      </c>
      <c r="H5" s="27"/>
    </row>
    <row r="6" spans="1:8" x14ac:dyDescent="0.25">
      <c r="A6" s="57" t="s">
        <v>1</v>
      </c>
      <c r="B6" s="58"/>
      <c r="C6" s="2">
        <v>120600</v>
      </c>
      <c r="D6" s="3"/>
      <c r="E6" s="2">
        <v>132660</v>
      </c>
      <c r="F6" s="2"/>
      <c r="G6" s="4">
        <v>126026</v>
      </c>
      <c r="H6" s="4"/>
    </row>
    <row r="7" spans="1:8" x14ac:dyDescent="0.25">
      <c r="A7" s="42" t="s">
        <v>2</v>
      </c>
      <c r="B7" s="43"/>
      <c r="C7" s="7">
        <f>+C6*0.6</f>
        <v>72360</v>
      </c>
      <c r="D7" s="8"/>
      <c r="E7" s="5">
        <f>+E6*0.6</f>
        <v>79596</v>
      </c>
      <c r="F7" s="6"/>
      <c r="G7" s="5">
        <f>+G6*0.58</f>
        <v>73095.08</v>
      </c>
      <c r="H7" s="4"/>
    </row>
    <row r="8" spans="1:8" x14ac:dyDescent="0.25">
      <c r="A8" s="49" t="s">
        <v>3</v>
      </c>
      <c r="B8" s="50"/>
      <c r="C8" s="9">
        <f>+C6-C7</f>
        <v>48240</v>
      </c>
      <c r="D8" s="3"/>
      <c r="E8" s="9">
        <f>+E6-E7</f>
        <v>53064</v>
      </c>
      <c r="F8" s="9"/>
      <c r="G8" s="4">
        <f>+G6-G7</f>
        <v>52930.92</v>
      </c>
      <c r="H8" s="4"/>
    </row>
    <row r="9" spans="1:8" x14ac:dyDescent="0.25">
      <c r="A9" s="42" t="s">
        <v>4</v>
      </c>
      <c r="B9" s="43"/>
      <c r="C9" s="9">
        <v>14100</v>
      </c>
      <c r="D9" s="3"/>
      <c r="E9" s="9">
        <f>+C9*1.05</f>
        <v>14805</v>
      </c>
      <c r="F9" s="9"/>
      <c r="G9" s="4">
        <f>+E9*1.02</f>
        <v>15101.1</v>
      </c>
      <c r="H9" s="4"/>
    </row>
    <row r="10" spans="1:8" x14ac:dyDescent="0.25">
      <c r="A10" s="42" t="s">
        <v>5</v>
      </c>
      <c r="B10" s="43"/>
      <c r="C10" s="5">
        <v>23240</v>
      </c>
      <c r="D10" s="8"/>
      <c r="E10" s="5">
        <f>+C10*1.08</f>
        <v>25099.200000000001</v>
      </c>
      <c r="F10" s="9"/>
      <c r="G10" s="5">
        <f>+E10*1.03</f>
        <v>25852.176000000003</v>
      </c>
      <c r="H10" s="4"/>
    </row>
    <row r="11" spans="1:8" x14ac:dyDescent="0.25">
      <c r="A11" s="49" t="s">
        <v>6</v>
      </c>
      <c r="B11" s="50"/>
      <c r="C11" s="9">
        <f>+C8-C9-C10</f>
        <v>10900</v>
      </c>
      <c r="D11" s="3"/>
      <c r="E11" s="9">
        <f>+E8-E9-E10</f>
        <v>13159.8</v>
      </c>
      <c r="F11" s="9"/>
      <c r="G11" s="4">
        <f>+G8-G9-G10</f>
        <v>11977.643999999997</v>
      </c>
      <c r="H11" s="4"/>
    </row>
    <row r="12" spans="1:8" x14ac:dyDescent="0.25">
      <c r="A12" s="47" t="s">
        <v>7</v>
      </c>
      <c r="B12" s="48"/>
      <c r="C12" s="10">
        <v>1500</v>
      </c>
      <c r="D12" s="11"/>
      <c r="E12" s="10">
        <v>1600</v>
      </c>
      <c r="F12" s="10"/>
      <c r="G12" s="10">
        <v>1600</v>
      </c>
      <c r="H12" s="9"/>
    </row>
    <row r="13" spans="1:8" x14ac:dyDescent="0.25">
      <c r="A13" s="42" t="s">
        <v>8</v>
      </c>
      <c r="B13" s="43"/>
      <c r="C13" s="5">
        <v>1680</v>
      </c>
      <c r="D13" s="3"/>
      <c r="E13" s="5">
        <v>1854</v>
      </c>
      <c r="F13" s="9"/>
      <c r="G13" s="5">
        <v>1578</v>
      </c>
      <c r="H13" s="4"/>
    </row>
    <row r="14" spans="1:8" x14ac:dyDescent="0.25">
      <c r="A14" s="49" t="s">
        <v>9</v>
      </c>
      <c r="B14" s="50"/>
      <c r="C14" s="9">
        <f t="shared" ref="C14:G14" si="0">+C11+C12-C13</f>
        <v>10720</v>
      </c>
      <c r="D14" s="9"/>
      <c r="E14" s="9">
        <f t="shared" si="0"/>
        <v>12905.8</v>
      </c>
      <c r="F14" s="9"/>
      <c r="G14" s="9">
        <f t="shared" si="0"/>
        <v>11999.643999999997</v>
      </c>
      <c r="H14" s="4"/>
    </row>
    <row r="15" spans="1:8" x14ac:dyDescent="0.25">
      <c r="A15" s="42" t="s">
        <v>10</v>
      </c>
      <c r="B15" s="43"/>
      <c r="C15" s="5">
        <f>+C14*0.25-D39</f>
        <v>2144</v>
      </c>
      <c r="D15" s="3"/>
      <c r="E15" s="5">
        <f>+(E14*0.25)-(F39-D39)</f>
        <v>2581.16</v>
      </c>
      <c r="F15" s="5"/>
      <c r="G15" s="5">
        <f t="shared" ref="G15" si="1">+(G14*0.25)-(H39-F39)</f>
        <v>2399.9287999999992</v>
      </c>
      <c r="H15" s="4"/>
    </row>
    <row r="16" spans="1:8" x14ac:dyDescent="0.25">
      <c r="A16" s="49" t="s">
        <v>11</v>
      </c>
      <c r="B16" s="50"/>
      <c r="C16" s="9">
        <f>+C14-C15</f>
        <v>8576</v>
      </c>
      <c r="D16" s="8"/>
      <c r="E16" s="9">
        <f>+E14-E15</f>
        <v>10324.64</v>
      </c>
      <c r="F16" s="6"/>
      <c r="G16" s="4">
        <f>+G14-G15</f>
        <v>9599.7151999999969</v>
      </c>
      <c r="H16" s="4"/>
    </row>
    <row r="17" spans="1:8" x14ac:dyDescent="0.25">
      <c r="A17" s="51" t="s">
        <v>12</v>
      </c>
      <c r="B17" s="52"/>
      <c r="C17" s="9"/>
      <c r="D17" s="3"/>
      <c r="E17" s="9"/>
      <c r="F17" s="9"/>
      <c r="G17" s="4"/>
      <c r="H17" s="4"/>
    </row>
    <row r="18" spans="1:8" x14ac:dyDescent="0.25">
      <c r="A18" s="42" t="s">
        <v>13</v>
      </c>
      <c r="B18" s="43"/>
      <c r="C18" s="5">
        <v>2700</v>
      </c>
      <c r="D18" s="8"/>
      <c r="E18" s="5">
        <v>4200</v>
      </c>
      <c r="F18" s="6"/>
      <c r="G18" s="5">
        <v>3900</v>
      </c>
      <c r="H18" s="4"/>
    </row>
    <row r="19" spans="1:8" x14ac:dyDescent="0.25">
      <c r="A19" s="44" t="s">
        <v>14</v>
      </c>
      <c r="B19" s="45"/>
      <c r="C19" s="5">
        <f>+C16-C18</f>
        <v>5876</v>
      </c>
      <c r="D19" s="14"/>
      <c r="E19" s="5">
        <f>+E16-E18</f>
        <v>6124.6399999999994</v>
      </c>
      <c r="F19" s="13"/>
      <c r="G19" s="15">
        <f>+G16-G18</f>
        <v>5699.7151999999969</v>
      </c>
      <c r="H19" s="15"/>
    </row>
    <row r="20" spans="1:8" x14ac:dyDescent="0.25">
      <c r="A20" s="39" t="s">
        <v>15</v>
      </c>
      <c r="B20" s="40"/>
      <c r="C20" s="16">
        <v>50</v>
      </c>
      <c r="D20" s="17"/>
      <c r="E20" s="16">
        <v>55</v>
      </c>
      <c r="F20" s="17"/>
      <c r="G20" s="16">
        <v>52</v>
      </c>
      <c r="H20" s="16"/>
    </row>
    <row r="21" spans="1:8" x14ac:dyDescent="0.25">
      <c r="A21" s="28" t="s">
        <v>60</v>
      </c>
      <c r="B21" s="35" t="s">
        <v>57</v>
      </c>
      <c r="C21" s="46"/>
      <c r="D21" s="46"/>
      <c r="E21" s="46"/>
      <c r="F21" s="36"/>
      <c r="G21" s="35" t="s">
        <v>58</v>
      </c>
      <c r="H21" s="36"/>
    </row>
    <row r="22" spans="1:8" x14ac:dyDescent="0.25">
      <c r="A22" s="29"/>
      <c r="B22" s="26">
        <v>2008</v>
      </c>
      <c r="C22" s="26" t="s">
        <v>16</v>
      </c>
      <c r="D22" s="26">
        <v>2009</v>
      </c>
      <c r="E22" s="26" t="s">
        <v>16</v>
      </c>
      <c r="F22" s="26">
        <v>2010</v>
      </c>
      <c r="G22" s="26" t="s">
        <v>16</v>
      </c>
      <c r="H22" s="26">
        <v>2011</v>
      </c>
    </row>
    <row r="23" spans="1:8" x14ac:dyDescent="0.25">
      <c r="A23" s="1" t="s">
        <v>17</v>
      </c>
      <c r="B23" s="9"/>
      <c r="C23" s="2"/>
      <c r="D23" s="3"/>
      <c r="E23" s="2"/>
      <c r="F23" s="3"/>
      <c r="G23" s="2"/>
      <c r="H23" s="2"/>
    </row>
    <row r="24" spans="1:8" x14ac:dyDescent="0.25">
      <c r="A24" s="12" t="s">
        <v>18</v>
      </c>
      <c r="B24" s="9">
        <v>2100</v>
      </c>
      <c r="C24" s="9"/>
      <c r="D24" s="3">
        <v>1800</v>
      </c>
      <c r="E24" s="9"/>
      <c r="F24" s="3">
        <v>1500</v>
      </c>
      <c r="G24" s="9"/>
      <c r="H24" s="9">
        <v>1200</v>
      </c>
    </row>
    <row r="25" spans="1:8" x14ac:dyDescent="0.25">
      <c r="A25" s="12" t="s">
        <v>19</v>
      </c>
      <c r="B25" s="9">
        <v>31500</v>
      </c>
      <c r="C25" s="9"/>
      <c r="D25" s="3">
        <v>34500</v>
      </c>
      <c r="E25" s="9"/>
      <c r="F25" s="3">
        <v>36000</v>
      </c>
      <c r="G25" s="9"/>
      <c r="H25" s="9">
        <v>33000</v>
      </c>
    </row>
    <row r="26" spans="1:8" x14ac:dyDescent="0.25">
      <c r="A26" s="12" t="s">
        <v>20</v>
      </c>
      <c r="B26" s="5">
        <v>5600</v>
      </c>
      <c r="C26" s="5"/>
      <c r="D26" s="5">
        <v>6000</v>
      </c>
      <c r="E26" s="5"/>
      <c r="F26" s="5">
        <v>6000</v>
      </c>
      <c r="G26" s="5"/>
      <c r="H26" s="5">
        <v>6000</v>
      </c>
    </row>
    <row r="27" spans="1:8" x14ac:dyDescent="0.25">
      <c r="A27" s="12" t="s">
        <v>21</v>
      </c>
      <c r="B27" s="19">
        <f>SUM(B24:B26)</f>
        <v>39200</v>
      </c>
      <c r="C27" s="16">
        <f>+(B27+D27)/2</f>
        <v>40750</v>
      </c>
      <c r="D27" s="5">
        <f>SUM(D24:D26)</f>
        <v>42300</v>
      </c>
      <c r="E27" s="16">
        <f>+(D27+F27)/2</f>
        <v>42900</v>
      </c>
      <c r="F27" s="16">
        <f>SUM(F24:F26)</f>
        <v>43500</v>
      </c>
      <c r="G27" s="16">
        <f>+(F27+H27)/2</f>
        <v>41850</v>
      </c>
      <c r="H27" s="16">
        <f>SUM(H24:H26)</f>
        <v>40200</v>
      </c>
    </row>
    <row r="28" spans="1:8" x14ac:dyDescent="0.25">
      <c r="A28" s="1" t="s">
        <v>22</v>
      </c>
      <c r="B28" s="10"/>
      <c r="C28" s="10"/>
      <c r="D28" s="23"/>
      <c r="E28" s="23"/>
      <c r="F28" s="23"/>
      <c r="G28" s="2"/>
      <c r="H28" s="9"/>
    </row>
    <row r="29" spans="1:8" x14ac:dyDescent="0.25">
      <c r="A29" s="12" t="s">
        <v>23</v>
      </c>
      <c r="B29" s="10">
        <v>9800</v>
      </c>
      <c r="C29" s="10"/>
      <c r="D29" s="10">
        <v>15092</v>
      </c>
      <c r="E29" s="10"/>
      <c r="F29" s="10">
        <v>16298</v>
      </c>
      <c r="G29" s="10"/>
      <c r="H29" s="9">
        <v>17982</v>
      </c>
    </row>
    <row r="30" spans="1:8" x14ac:dyDescent="0.25">
      <c r="A30" s="12" t="s">
        <v>62</v>
      </c>
      <c r="B30" s="10">
        <v>9520</v>
      </c>
      <c r="C30" s="10"/>
      <c r="D30" s="10">
        <v>14660</v>
      </c>
      <c r="E30" s="10"/>
      <c r="F30" s="10">
        <v>16420</v>
      </c>
      <c r="G30" s="10"/>
      <c r="H30" s="9">
        <v>16578</v>
      </c>
    </row>
    <row r="31" spans="1:8" x14ac:dyDescent="0.25">
      <c r="A31" s="12" t="s">
        <v>24</v>
      </c>
      <c r="B31" s="24">
        <v>280</v>
      </c>
      <c r="C31" s="24"/>
      <c r="D31" s="24">
        <v>168</v>
      </c>
      <c r="E31" s="24"/>
      <c r="F31" s="24">
        <v>360</v>
      </c>
      <c r="G31" s="24"/>
      <c r="H31" s="5">
        <v>150</v>
      </c>
    </row>
    <row r="32" spans="1:8" x14ac:dyDescent="0.25">
      <c r="A32" s="12" t="s">
        <v>21</v>
      </c>
      <c r="B32" s="10">
        <f>SUM(B29:B31)</f>
        <v>19600</v>
      </c>
      <c r="C32" s="19">
        <f t="shared" ref="C32:C49" si="2">+(B32+D32)/2</f>
        <v>24760</v>
      </c>
      <c r="D32" s="10">
        <f>SUM(D29:D31)</f>
        <v>29920</v>
      </c>
      <c r="E32" s="19">
        <f t="shared" ref="E32:E49" si="3">+(D32+F32)/2</f>
        <v>31499</v>
      </c>
      <c r="F32" s="10">
        <f>SUM(F29:F31)</f>
        <v>33078</v>
      </c>
      <c r="G32" s="19">
        <f t="shared" ref="G32:G49" si="4">+(F32+H32)/2</f>
        <v>33894</v>
      </c>
      <c r="H32" s="9">
        <f>SUM(H29:H31)</f>
        <v>34710</v>
      </c>
    </row>
    <row r="33" spans="1:8" x14ac:dyDescent="0.25">
      <c r="A33" s="18" t="s">
        <v>25</v>
      </c>
      <c r="B33" s="19">
        <f>+B27+B32</f>
        <v>58800</v>
      </c>
      <c r="C33" s="16">
        <f t="shared" si="2"/>
        <v>65510</v>
      </c>
      <c r="D33" s="19">
        <f>+D27+D32</f>
        <v>72220</v>
      </c>
      <c r="E33" s="19">
        <f t="shared" si="3"/>
        <v>74399</v>
      </c>
      <c r="F33" s="19">
        <f>+F27+F32</f>
        <v>76578</v>
      </c>
      <c r="G33" s="19">
        <f t="shared" si="4"/>
        <v>75744</v>
      </c>
      <c r="H33" s="16">
        <f>+H27+H32</f>
        <v>74910</v>
      </c>
    </row>
    <row r="34" spans="1:8" x14ac:dyDescent="0.25">
      <c r="A34" s="1" t="s">
        <v>26</v>
      </c>
      <c r="B34" s="10"/>
      <c r="C34" s="10"/>
      <c r="D34" s="10"/>
      <c r="E34" s="23"/>
      <c r="F34" s="10"/>
      <c r="G34" s="23"/>
      <c r="H34" s="9"/>
    </row>
    <row r="35" spans="1:8" x14ac:dyDescent="0.25">
      <c r="A35" s="12" t="s">
        <v>27</v>
      </c>
      <c r="B35" s="10">
        <v>16800</v>
      </c>
      <c r="C35" s="10"/>
      <c r="D35" s="10">
        <v>16800</v>
      </c>
      <c r="E35" s="10"/>
      <c r="F35" s="10">
        <v>16800</v>
      </c>
      <c r="G35" s="10"/>
      <c r="H35" s="9">
        <v>16800</v>
      </c>
    </row>
    <row r="36" spans="1:8" x14ac:dyDescent="0.25">
      <c r="A36" s="12" t="s">
        <v>14</v>
      </c>
      <c r="B36" s="10">
        <v>9200</v>
      </c>
      <c r="C36" s="24"/>
      <c r="D36" s="10">
        <f>+(B36+C16)-2400</f>
        <v>15376</v>
      </c>
      <c r="E36" s="24"/>
      <c r="F36" s="10">
        <f>+(D36+E16)-C18</f>
        <v>23000.639999999999</v>
      </c>
      <c r="G36" s="24"/>
      <c r="H36" s="9">
        <f t="shared" ref="H36" si="5">+(F36+G16)-E18</f>
        <v>28400.355199999998</v>
      </c>
    </row>
    <row r="37" spans="1:8" x14ac:dyDescent="0.25">
      <c r="A37" s="20" t="s">
        <v>21</v>
      </c>
      <c r="B37" s="19">
        <f t="shared" ref="B37:H37" si="6">+B35+B36</f>
        <v>26000</v>
      </c>
      <c r="C37" s="16">
        <f t="shared" si="2"/>
        <v>29088</v>
      </c>
      <c r="D37" s="19">
        <f t="shared" si="6"/>
        <v>32176</v>
      </c>
      <c r="E37" s="16">
        <f t="shared" si="3"/>
        <v>35988.32</v>
      </c>
      <c r="F37" s="19">
        <f t="shared" si="6"/>
        <v>39800.639999999999</v>
      </c>
      <c r="G37" s="16">
        <f t="shared" si="4"/>
        <v>42500.497600000002</v>
      </c>
      <c r="H37" s="16">
        <f t="shared" si="6"/>
        <v>45200.355199999998</v>
      </c>
    </row>
    <row r="38" spans="1:8" x14ac:dyDescent="0.25">
      <c r="A38" s="21" t="s">
        <v>28</v>
      </c>
      <c r="B38" s="10"/>
      <c r="C38" s="10"/>
      <c r="D38" s="10"/>
      <c r="E38" s="10"/>
      <c r="F38" s="10"/>
      <c r="G38" s="10"/>
      <c r="H38" s="9"/>
    </row>
    <row r="39" spans="1:8" x14ac:dyDescent="0.25">
      <c r="A39" s="20" t="s">
        <v>29</v>
      </c>
      <c r="B39" s="24">
        <v>420</v>
      </c>
      <c r="C39" s="5">
        <f t="shared" si="2"/>
        <v>478</v>
      </c>
      <c r="D39" s="24">
        <f>+C14*0.05</f>
        <v>536</v>
      </c>
      <c r="E39" s="5">
        <f t="shared" si="3"/>
        <v>858.64499999999998</v>
      </c>
      <c r="F39" s="24">
        <f>+(E14*0.05)+D39</f>
        <v>1181.29</v>
      </c>
      <c r="G39" s="5">
        <f t="shared" si="4"/>
        <v>1481.2810999999999</v>
      </c>
      <c r="H39" s="5">
        <f t="shared" ref="H39" si="7">+(G14*0.05)+F39</f>
        <v>1781.2721999999999</v>
      </c>
    </row>
    <row r="40" spans="1:8" x14ac:dyDescent="0.25">
      <c r="A40" s="1" t="s">
        <v>30</v>
      </c>
      <c r="B40" s="10"/>
      <c r="C40" s="10"/>
      <c r="D40" s="10"/>
      <c r="E40" s="10"/>
      <c r="F40" s="10"/>
      <c r="G40" s="10"/>
      <c r="H40" s="9"/>
    </row>
    <row r="41" spans="1:8" x14ac:dyDescent="0.25">
      <c r="A41" s="12" t="s">
        <v>31</v>
      </c>
      <c r="B41" s="24">
        <v>8400</v>
      </c>
      <c r="C41" s="5">
        <f t="shared" si="2"/>
        <v>8000</v>
      </c>
      <c r="D41" s="24">
        <v>7600</v>
      </c>
      <c r="E41" s="5">
        <f t="shared" si="3"/>
        <v>7200</v>
      </c>
      <c r="F41" s="24">
        <v>6800</v>
      </c>
      <c r="G41" s="5">
        <f t="shared" si="4"/>
        <v>6400</v>
      </c>
      <c r="H41" s="5">
        <v>6000</v>
      </c>
    </row>
    <row r="42" spans="1:8" x14ac:dyDescent="0.25">
      <c r="A42" s="12" t="s">
        <v>32</v>
      </c>
      <c r="B42" s="10"/>
      <c r="C42" s="10"/>
      <c r="D42" s="23"/>
      <c r="E42" s="10"/>
      <c r="F42" s="23"/>
      <c r="G42" s="10"/>
      <c r="H42" s="9"/>
    </row>
    <row r="43" spans="1:8" x14ac:dyDescent="0.25">
      <c r="A43" s="12" t="s">
        <v>33</v>
      </c>
      <c r="B43" s="10">
        <v>800</v>
      </c>
      <c r="C43" s="10"/>
      <c r="D43" s="10">
        <v>800</v>
      </c>
      <c r="E43" s="10"/>
      <c r="F43" s="10">
        <v>800</v>
      </c>
      <c r="G43" s="10"/>
      <c r="H43" s="9">
        <v>800</v>
      </c>
    </row>
    <row r="44" spans="1:8" x14ac:dyDescent="0.25">
      <c r="A44" s="12" t="s">
        <v>34</v>
      </c>
      <c r="B44" s="10">
        <v>6240</v>
      </c>
      <c r="C44" s="10"/>
      <c r="D44" s="10">
        <v>7392</v>
      </c>
      <c r="E44" s="9"/>
      <c r="F44" s="10">
        <v>2537</v>
      </c>
      <c r="G44" s="10"/>
      <c r="H44" s="9">
        <v>1978</v>
      </c>
    </row>
    <row r="45" spans="1:8" x14ac:dyDescent="0.25">
      <c r="A45" s="12" t="s">
        <v>63</v>
      </c>
      <c r="B45" s="10">
        <v>9100</v>
      </c>
      <c r="C45" s="10"/>
      <c r="D45" s="10">
        <v>12740</v>
      </c>
      <c r="E45" s="9"/>
      <c r="F45" s="10">
        <v>13288</v>
      </c>
      <c r="G45" s="10"/>
      <c r="H45" s="9">
        <f>+F45*0.8</f>
        <v>10630.400000000001</v>
      </c>
    </row>
    <row r="46" spans="1:8" x14ac:dyDescent="0.25">
      <c r="A46" s="12" t="s">
        <v>35</v>
      </c>
      <c r="B46" s="5">
        <v>7840</v>
      </c>
      <c r="C46" s="5"/>
      <c r="D46" s="5">
        <v>10976</v>
      </c>
      <c r="E46" s="5"/>
      <c r="F46" s="5">
        <v>12171</v>
      </c>
      <c r="G46" s="5"/>
      <c r="H46" s="5">
        <f>+F46*0.7</f>
        <v>8519.6999999999989</v>
      </c>
    </row>
    <row r="47" spans="1:8" x14ac:dyDescent="0.25">
      <c r="A47" s="12" t="s">
        <v>21</v>
      </c>
      <c r="B47" s="16">
        <f>SUM(B43:B46)</f>
        <v>23980</v>
      </c>
      <c r="C47" s="16">
        <f t="shared" si="2"/>
        <v>27944</v>
      </c>
      <c r="D47" s="5">
        <f>SUM(D43:D46)</f>
        <v>31908</v>
      </c>
      <c r="E47" s="16">
        <f t="shared" si="3"/>
        <v>30352</v>
      </c>
      <c r="F47" s="16">
        <f>SUM(F43:F46)</f>
        <v>28796</v>
      </c>
      <c r="G47" s="16">
        <f t="shared" si="4"/>
        <v>25362.05</v>
      </c>
      <c r="H47" s="16">
        <f>SUM(H43:H46)</f>
        <v>21928.1</v>
      </c>
    </row>
    <row r="48" spans="1:8" x14ac:dyDescent="0.25">
      <c r="A48" s="12" t="s">
        <v>36</v>
      </c>
      <c r="B48" s="9">
        <f>+B41+B47</f>
        <v>32380</v>
      </c>
      <c r="C48" s="16">
        <f t="shared" si="2"/>
        <v>35944</v>
      </c>
      <c r="D48" s="9">
        <f>+D41+D47</f>
        <v>39508</v>
      </c>
      <c r="E48" s="16">
        <f t="shared" si="3"/>
        <v>37552</v>
      </c>
      <c r="F48" s="10">
        <f>+F41+F47</f>
        <v>35596</v>
      </c>
      <c r="G48" s="16">
        <f t="shared" si="4"/>
        <v>31762.05</v>
      </c>
      <c r="H48" s="9">
        <f>+H41+H47</f>
        <v>27928.1</v>
      </c>
    </row>
    <row r="49" spans="1:8" x14ac:dyDescent="0.25">
      <c r="A49" s="18" t="s">
        <v>37</v>
      </c>
      <c r="B49" s="16">
        <f t="shared" ref="B49:H49" si="8">+B37+B39+B48</f>
        <v>58800</v>
      </c>
      <c r="C49" s="16">
        <f t="shared" si="2"/>
        <v>65510</v>
      </c>
      <c r="D49" s="16">
        <f>+D37+D39+D48</f>
        <v>72220</v>
      </c>
      <c r="E49" s="16">
        <f t="shared" si="3"/>
        <v>74398.964999999997</v>
      </c>
      <c r="F49" s="16">
        <f t="shared" si="8"/>
        <v>76577.929999999993</v>
      </c>
      <c r="G49" s="16">
        <f t="shared" si="4"/>
        <v>75743.828699999998</v>
      </c>
      <c r="H49" s="16">
        <f t="shared" si="8"/>
        <v>74909.727400000003</v>
      </c>
    </row>
    <row r="50" spans="1:8" x14ac:dyDescent="0.25">
      <c r="A50" s="37" t="s">
        <v>38</v>
      </c>
      <c r="B50" s="37"/>
      <c r="C50" s="37"/>
      <c r="D50" s="37"/>
      <c r="E50" s="37"/>
      <c r="F50" s="37"/>
      <c r="G50" s="37"/>
      <c r="H50" s="37"/>
    </row>
    <row r="51" spans="1:8" x14ac:dyDescent="0.25">
      <c r="A51" s="41" t="s">
        <v>61</v>
      </c>
      <c r="B51" s="41"/>
      <c r="C51" s="30">
        <f>+C11</f>
        <v>10900</v>
      </c>
      <c r="D51" s="30"/>
      <c r="E51" s="30">
        <f t="shared" ref="E51:G52" si="9">+E11</f>
        <v>13159.8</v>
      </c>
      <c r="F51" s="30"/>
      <c r="G51" s="30">
        <f t="shared" si="9"/>
        <v>11977.643999999997</v>
      </c>
      <c r="H51" s="22"/>
    </row>
    <row r="52" spans="1:8" x14ac:dyDescent="0.25">
      <c r="A52" s="38" t="s">
        <v>7</v>
      </c>
      <c r="B52" s="38"/>
      <c r="C52" s="22">
        <f>+C12</f>
        <v>1500</v>
      </c>
      <c r="D52" s="22"/>
      <c r="E52" s="22">
        <f t="shared" si="9"/>
        <v>1600</v>
      </c>
      <c r="F52" s="22"/>
      <c r="G52" s="22">
        <f t="shared" si="9"/>
        <v>1600</v>
      </c>
      <c r="H52" s="22"/>
    </row>
    <row r="53" spans="1:8" x14ac:dyDescent="0.25">
      <c r="A53" s="38" t="s">
        <v>39</v>
      </c>
      <c r="B53" s="38"/>
      <c r="C53" s="22">
        <f>+B27*0.2</f>
        <v>7840</v>
      </c>
      <c r="D53" s="22"/>
      <c r="E53" s="22">
        <f t="shared" ref="E53:G53" si="10">+D27*0.2</f>
        <v>8460</v>
      </c>
      <c r="F53" s="22"/>
      <c r="G53" s="22">
        <f t="shared" si="10"/>
        <v>8700</v>
      </c>
      <c r="H53" s="22"/>
    </row>
    <row r="54" spans="1:8" x14ac:dyDescent="0.25">
      <c r="A54" s="34" t="s">
        <v>40</v>
      </c>
      <c r="B54" s="34"/>
      <c r="C54" s="30">
        <f>+C51+C52+C53</f>
        <v>20240</v>
      </c>
      <c r="D54" s="30"/>
      <c r="E54" s="30">
        <f t="shared" ref="E54:G54" si="11">+E51+E52+E53</f>
        <v>23219.8</v>
      </c>
      <c r="F54" s="30"/>
      <c r="G54" s="30">
        <f t="shared" si="11"/>
        <v>22277.643999999997</v>
      </c>
      <c r="H54" s="22"/>
    </row>
    <row r="55" spans="1:8" x14ac:dyDescent="0.25">
      <c r="A55" s="33" t="s">
        <v>53</v>
      </c>
      <c r="B55" s="33"/>
      <c r="C55" s="22">
        <f>+(B29-D29)</f>
        <v>-5292</v>
      </c>
      <c r="D55" s="22"/>
      <c r="E55" s="22">
        <f t="shared" ref="E55:G56" si="12">+(D29-F29)</f>
        <v>-1206</v>
      </c>
      <c r="F55" s="22"/>
      <c r="G55" s="22">
        <f t="shared" si="12"/>
        <v>-1684</v>
      </c>
      <c r="H55" s="22"/>
    </row>
    <row r="56" spans="1:8" x14ac:dyDescent="0.25">
      <c r="A56" s="33" t="s">
        <v>54</v>
      </c>
      <c r="B56" s="33"/>
      <c r="C56" s="22">
        <f>+(B30-D30)</f>
        <v>-5140</v>
      </c>
      <c r="D56" s="22"/>
      <c r="E56" s="22">
        <f t="shared" si="12"/>
        <v>-1760</v>
      </c>
      <c r="F56" s="22"/>
      <c r="G56" s="22">
        <f t="shared" si="12"/>
        <v>-158</v>
      </c>
      <c r="H56" s="22"/>
    </row>
    <row r="57" spans="1:8" x14ac:dyDescent="0.25">
      <c r="A57" s="33" t="s">
        <v>41</v>
      </c>
      <c r="B57" s="33"/>
      <c r="C57" s="22">
        <f>+(D45-B45)</f>
        <v>3640</v>
      </c>
      <c r="D57" s="22"/>
      <c r="E57" s="22">
        <f t="shared" ref="E57:G58" si="13">+(F45-D45)</f>
        <v>548</v>
      </c>
      <c r="F57" s="22"/>
      <c r="G57" s="22">
        <f t="shared" si="13"/>
        <v>-2657.5999999999985</v>
      </c>
      <c r="H57" s="22"/>
    </row>
    <row r="58" spans="1:8" x14ac:dyDescent="0.25">
      <c r="A58" s="33" t="s">
        <v>42</v>
      </c>
      <c r="B58" s="33"/>
      <c r="C58" s="22">
        <f>+(D46-B46)</f>
        <v>3136</v>
      </c>
      <c r="D58" s="22"/>
      <c r="E58" s="22">
        <f t="shared" si="13"/>
        <v>1195</v>
      </c>
      <c r="F58" s="22"/>
      <c r="G58" s="22">
        <f t="shared" si="13"/>
        <v>-3651.3000000000011</v>
      </c>
      <c r="H58" s="22"/>
    </row>
    <row r="59" spans="1:8" x14ac:dyDescent="0.25">
      <c r="A59" s="33" t="s">
        <v>43</v>
      </c>
      <c r="B59" s="33"/>
      <c r="C59" s="22">
        <f>-C13</f>
        <v>-1680</v>
      </c>
      <c r="D59" s="22"/>
      <c r="E59" s="22">
        <f t="shared" ref="E59:G59" si="14">-E13</f>
        <v>-1854</v>
      </c>
      <c r="F59" s="22"/>
      <c r="G59" s="22">
        <f t="shared" si="14"/>
        <v>-1578</v>
      </c>
      <c r="H59" s="22"/>
    </row>
    <row r="60" spans="1:8" x14ac:dyDescent="0.25">
      <c r="A60" s="39" t="s">
        <v>56</v>
      </c>
      <c r="B60" s="40"/>
      <c r="C60" s="22">
        <f>-C15</f>
        <v>-2144</v>
      </c>
      <c r="D60" s="22"/>
      <c r="E60" s="22">
        <f t="shared" ref="E60:G60" si="15">-E15</f>
        <v>-2581.16</v>
      </c>
      <c r="F60" s="22"/>
      <c r="G60" s="22">
        <f t="shared" si="15"/>
        <v>-2399.9287999999992</v>
      </c>
      <c r="H60" s="22"/>
    </row>
    <row r="61" spans="1:8" x14ac:dyDescent="0.25">
      <c r="A61" s="33" t="s">
        <v>44</v>
      </c>
      <c r="B61" s="33"/>
      <c r="C61" s="22">
        <f>+(D39-B39)</f>
        <v>116</v>
      </c>
      <c r="D61" s="22"/>
      <c r="E61" s="22">
        <f t="shared" ref="E61:G61" si="16">+(F39-D39)</f>
        <v>645.29</v>
      </c>
      <c r="F61" s="22"/>
      <c r="G61" s="22">
        <f t="shared" si="16"/>
        <v>599.98219999999992</v>
      </c>
      <c r="H61" s="22"/>
    </row>
    <row r="62" spans="1:8" x14ac:dyDescent="0.25">
      <c r="A62" s="34" t="s">
        <v>45</v>
      </c>
      <c r="B62" s="34"/>
      <c r="C62" s="30">
        <f>SUM(C54:C61)</f>
        <v>12876</v>
      </c>
      <c r="D62" s="30"/>
      <c r="E62" s="30">
        <f t="shared" ref="E62:G62" si="17">SUM(E54:E61)</f>
        <v>18206.93</v>
      </c>
      <c r="F62" s="30"/>
      <c r="G62" s="30">
        <f t="shared" si="17"/>
        <v>10748.797399999998</v>
      </c>
      <c r="H62" s="22"/>
    </row>
    <row r="63" spans="1:8" x14ac:dyDescent="0.25">
      <c r="A63" s="33" t="s">
        <v>46</v>
      </c>
      <c r="B63" s="33"/>
      <c r="C63" s="22">
        <f>+B27-(D27+C53)</f>
        <v>-10940</v>
      </c>
      <c r="D63" s="22"/>
      <c r="E63" s="22">
        <f t="shared" ref="E63:G63" si="18">+D27-(F27+E53)</f>
        <v>-9660</v>
      </c>
      <c r="F63" s="22"/>
      <c r="G63" s="22">
        <f t="shared" si="18"/>
        <v>-5400</v>
      </c>
      <c r="H63" s="22"/>
    </row>
    <row r="64" spans="1:8" x14ac:dyDescent="0.25">
      <c r="A64" s="34" t="s">
        <v>47</v>
      </c>
      <c r="B64" s="34"/>
      <c r="C64" s="30">
        <f>+C63</f>
        <v>-10940</v>
      </c>
      <c r="D64" s="30"/>
      <c r="E64" s="30">
        <f t="shared" ref="E64:G64" si="19">+E63</f>
        <v>-9660</v>
      </c>
      <c r="F64" s="30"/>
      <c r="G64" s="30">
        <f t="shared" si="19"/>
        <v>-5400</v>
      </c>
      <c r="H64" s="22"/>
    </row>
    <row r="65" spans="1:8" x14ac:dyDescent="0.25">
      <c r="A65" s="33" t="s">
        <v>33</v>
      </c>
      <c r="B65" s="33"/>
      <c r="C65" s="22">
        <f>-B43</f>
        <v>-800</v>
      </c>
      <c r="D65" s="22"/>
      <c r="E65" s="22">
        <f t="shared" ref="E65:G65" si="20">-D43</f>
        <v>-800</v>
      </c>
      <c r="F65" s="22"/>
      <c r="G65" s="22">
        <f t="shared" si="20"/>
        <v>-800</v>
      </c>
      <c r="H65" s="22"/>
    </row>
    <row r="66" spans="1:8" x14ac:dyDescent="0.25">
      <c r="A66" s="33" t="s">
        <v>55</v>
      </c>
      <c r="B66" s="33"/>
      <c r="C66" s="22">
        <f>+(D44-B44)</f>
        <v>1152</v>
      </c>
      <c r="D66" s="22"/>
      <c r="E66" s="22">
        <f t="shared" ref="E66:G66" si="21">+(F44-D44)</f>
        <v>-4855</v>
      </c>
      <c r="F66" s="22"/>
      <c r="G66" s="22">
        <f t="shared" si="21"/>
        <v>-559</v>
      </c>
      <c r="H66" s="22"/>
    </row>
    <row r="67" spans="1:8" x14ac:dyDescent="0.25">
      <c r="A67" s="33" t="s">
        <v>48</v>
      </c>
      <c r="B67" s="33"/>
      <c r="C67" s="22">
        <v>-2400</v>
      </c>
      <c r="D67" s="22"/>
      <c r="E67" s="22">
        <f>-C18</f>
        <v>-2700</v>
      </c>
      <c r="F67" s="22"/>
      <c r="G67" s="22">
        <f>-E18</f>
        <v>-4200</v>
      </c>
      <c r="H67" s="22"/>
    </row>
    <row r="68" spans="1:8" x14ac:dyDescent="0.25">
      <c r="A68" s="34" t="s">
        <v>49</v>
      </c>
      <c r="B68" s="34"/>
      <c r="C68" s="30">
        <f>SUM(C65:C67)</f>
        <v>-2048</v>
      </c>
      <c r="D68" s="30"/>
      <c r="E68" s="30">
        <f t="shared" ref="E68:G68" si="22">SUM(E65:E67)</f>
        <v>-8355</v>
      </c>
      <c r="F68" s="30"/>
      <c r="G68" s="30">
        <f t="shared" si="22"/>
        <v>-5559</v>
      </c>
      <c r="H68" s="22"/>
    </row>
    <row r="69" spans="1:8" x14ac:dyDescent="0.25">
      <c r="A69" s="34" t="s">
        <v>50</v>
      </c>
      <c r="B69" s="34"/>
      <c r="C69" s="30">
        <f>+C62+C64+C68</f>
        <v>-112</v>
      </c>
      <c r="D69" s="30"/>
      <c r="E69" s="30">
        <f t="shared" ref="E69:G69" si="23">+E62+E64+E68</f>
        <v>191.93000000000029</v>
      </c>
      <c r="F69" s="30"/>
      <c r="G69" s="30">
        <f t="shared" si="23"/>
        <v>-210.20260000000235</v>
      </c>
      <c r="H69" s="22"/>
    </row>
    <row r="70" spans="1:8" x14ac:dyDescent="0.25">
      <c r="A70" s="33" t="s">
        <v>51</v>
      </c>
      <c r="B70" s="33"/>
      <c r="C70" s="22">
        <v>280</v>
      </c>
      <c r="D70" s="22"/>
      <c r="E70" s="22">
        <f>+C71</f>
        <v>168</v>
      </c>
      <c r="F70" s="22"/>
      <c r="G70" s="22">
        <f>+E71</f>
        <v>359.93000000000029</v>
      </c>
      <c r="H70" s="22"/>
    </row>
    <row r="71" spans="1:8" x14ac:dyDescent="0.25">
      <c r="A71" s="34" t="s">
        <v>52</v>
      </c>
      <c r="B71" s="34"/>
      <c r="C71" s="30">
        <f>+C69+C70</f>
        <v>168</v>
      </c>
      <c r="D71" s="30"/>
      <c r="E71" s="30">
        <f>+E69+E70</f>
        <v>359.93000000000029</v>
      </c>
      <c r="F71" s="30"/>
      <c r="G71" s="30">
        <f>+G69+G70</f>
        <v>149.72739999999794</v>
      </c>
      <c r="H71" s="22"/>
    </row>
  </sheetData>
  <mergeCells count="44">
    <mergeCell ref="A11:B11"/>
    <mergeCell ref="A6:B6"/>
    <mergeCell ref="A7:B7"/>
    <mergeCell ref="A8:B8"/>
    <mergeCell ref="A9:B9"/>
    <mergeCell ref="A10:B10"/>
    <mergeCell ref="A3:H3"/>
    <mergeCell ref="A4:B4"/>
    <mergeCell ref="C4:F4"/>
    <mergeCell ref="G4:H4"/>
    <mergeCell ref="A5:B5"/>
    <mergeCell ref="A18:B18"/>
    <mergeCell ref="A19:B19"/>
    <mergeCell ref="A20:B20"/>
    <mergeCell ref="B21:F21"/>
    <mergeCell ref="A12:B12"/>
    <mergeCell ref="A13:B13"/>
    <mergeCell ref="A14:B14"/>
    <mergeCell ref="A15:B15"/>
    <mergeCell ref="A16:B16"/>
    <mergeCell ref="A17:B17"/>
    <mergeCell ref="G21:H21"/>
    <mergeCell ref="A50:H50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51:B51"/>
    <mergeCell ref="A70:B70"/>
    <mergeCell ref="A71:B71"/>
    <mergeCell ref="A64:B64"/>
    <mergeCell ref="A65:B65"/>
    <mergeCell ref="A66:B66"/>
    <mergeCell ref="A67:B67"/>
    <mergeCell ref="A68:B68"/>
    <mergeCell ref="A69:B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19.4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cp:lastPrinted>2010-02-20T19:30:26Z</cp:lastPrinted>
  <dcterms:created xsi:type="dcterms:W3CDTF">2010-02-18T11:29:29Z</dcterms:created>
  <dcterms:modified xsi:type="dcterms:W3CDTF">2016-11-07T12:02:24Z</dcterms:modified>
</cp:coreProperties>
</file>